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26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Nika</author>
  </authors>
  <commentList>
    <comment ref="C90" authorId="0">
      <text>
        <r>
          <rPr>
            <b/>
            <sz val="9"/>
            <rFont val="Tahoma"/>
            <family val="0"/>
          </rPr>
          <t>Первая гармоника</t>
        </r>
        <r>
          <rPr>
            <sz val="9"/>
            <rFont val="Tahoma"/>
            <family val="0"/>
          </rPr>
          <t xml:space="preserve">
</t>
        </r>
      </text>
    </comment>
    <comment ref="G90" authorId="0">
      <text>
        <r>
          <rPr>
            <b/>
            <sz val="9"/>
            <rFont val="Tahoma"/>
            <family val="0"/>
          </rPr>
          <t>Первая гармоника</t>
        </r>
      </text>
    </comment>
  </commentList>
</comments>
</file>

<file path=xl/comments2.xml><?xml version="1.0" encoding="utf-8"?>
<comments xmlns="http://schemas.openxmlformats.org/spreadsheetml/2006/main">
  <authors>
    <author>Nika</author>
  </authors>
  <commentList>
    <comment ref="B18" authorId="0">
      <text>
        <r>
          <rPr>
            <b/>
            <sz val="9"/>
            <rFont val="Tahoma"/>
            <family val="0"/>
          </rPr>
          <t>Первая гармоника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0"/>
          </rPr>
          <t>Первая гармоника</t>
        </r>
      </text>
    </comment>
  </commentList>
</comments>
</file>

<file path=xl/sharedStrings.xml><?xml version="1.0" encoding="utf-8"?>
<sst xmlns="http://schemas.openxmlformats.org/spreadsheetml/2006/main" count="214" uniqueCount="148">
  <si>
    <t>частота</t>
  </si>
  <si>
    <t>длительность</t>
  </si>
  <si>
    <t>длина в м</t>
  </si>
  <si>
    <t>секунда</t>
  </si>
  <si>
    <t>мС</t>
  </si>
  <si>
    <t>мкС</t>
  </si>
  <si>
    <t>наноС</t>
  </si>
  <si>
    <t>1Гц</t>
  </si>
  <si>
    <t>10Гц</t>
  </si>
  <si>
    <t>100Гц</t>
  </si>
  <si>
    <t>1кГц</t>
  </si>
  <si>
    <t>10кГц</t>
  </si>
  <si>
    <t>100кГц</t>
  </si>
  <si>
    <t>1мГц</t>
  </si>
  <si>
    <t>10мГц</t>
  </si>
  <si>
    <t>100мГц</t>
  </si>
  <si>
    <t>1гГц</t>
  </si>
  <si>
    <t>метры</t>
  </si>
  <si>
    <t>10гГц</t>
  </si>
  <si>
    <t>100гГц</t>
  </si>
  <si>
    <t xml:space="preserve">чтобы узнать частоту от длительности импульса </t>
  </si>
  <si>
    <t>1000/nS</t>
  </si>
  <si>
    <t>1000/uS</t>
  </si>
  <si>
    <t>кГц</t>
  </si>
  <si>
    <t xml:space="preserve">равно в </t>
  </si>
  <si>
    <t>равно в</t>
  </si>
  <si>
    <t>мГц</t>
  </si>
  <si>
    <t>1000/мS</t>
  </si>
  <si>
    <t>Гц</t>
  </si>
  <si>
    <t>uS</t>
  </si>
  <si>
    <t>посчитать</t>
  </si>
  <si>
    <t>ток А</t>
  </si>
  <si>
    <t>напряжение В</t>
  </si>
  <si>
    <t>резистор Ом</t>
  </si>
  <si>
    <t>C1</t>
  </si>
  <si>
    <t>= 10n</t>
  </si>
  <si>
    <t>C2</t>
  </si>
  <si>
    <t>= 220пФ</t>
  </si>
  <si>
    <t>C3</t>
  </si>
  <si>
    <t>= 22пФ</t>
  </si>
  <si>
    <t>C4</t>
  </si>
  <si>
    <t>= 50pF</t>
  </si>
  <si>
    <t>C5</t>
  </si>
  <si>
    <t>= 3n3</t>
  </si>
  <si>
    <t>C6</t>
  </si>
  <si>
    <t>= 100нФ</t>
  </si>
  <si>
    <t>C7</t>
  </si>
  <si>
    <t>C8</t>
  </si>
  <si>
    <t>= 100n</t>
  </si>
  <si>
    <t>C9</t>
  </si>
  <si>
    <t>= 10нФ</t>
  </si>
  <si>
    <t>C10</t>
  </si>
  <si>
    <t>C11</t>
  </si>
  <si>
    <t>C12</t>
  </si>
  <si>
    <t>= 100нФ   12в</t>
  </si>
  <si>
    <t>C13</t>
  </si>
  <si>
    <t>= 470мкФ  12в</t>
  </si>
  <si>
    <t>C14</t>
  </si>
  <si>
    <t xml:space="preserve">= 100n    </t>
  </si>
  <si>
    <t>C15</t>
  </si>
  <si>
    <t>= 1000мкФ 24в</t>
  </si>
  <si>
    <t>C16</t>
  </si>
  <si>
    <t>= 100нФ   24в</t>
  </si>
  <si>
    <t>C17</t>
  </si>
  <si>
    <t>= 2200мкФ 50в</t>
  </si>
  <si>
    <t xml:space="preserve"> </t>
  </si>
  <si>
    <t>IC1</t>
  </si>
  <si>
    <t>IC2</t>
  </si>
  <si>
    <t>IC3</t>
  </si>
  <si>
    <t>= 74HC00(74HC132)</t>
  </si>
  <si>
    <t>IC4</t>
  </si>
  <si>
    <t>= 74HC14</t>
  </si>
  <si>
    <t>IC5</t>
  </si>
  <si>
    <t>R1</t>
  </si>
  <si>
    <t>= 5k</t>
  </si>
  <si>
    <t>R2</t>
  </si>
  <si>
    <t>= 1К</t>
  </si>
  <si>
    <t>R3</t>
  </si>
  <si>
    <t>= 10k</t>
  </si>
  <si>
    <t>R4</t>
  </si>
  <si>
    <t>= 10 на проводе обратной связи</t>
  </si>
  <si>
    <t>R5</t>
  </si>
  <si>
    <t>R6</t>
  </si>
  <si>
    <t>R7</t>
  </si>
  <si>
    <t>= 1k</t>
  </si>
  <si>
    <t>R8</t>
  </si>
  <si>
    <t>R9</t>
  </si>
  <si>
    <t>R10</t>
  </si>
  <si>
    <t>= 22К</t>
  </si>
  <si>
    <t>R11</t>
  </si>
  <si>
    <t>R12</t>
  </si>
  <si>
    <t>= 100К</t>
  </si>
  <si>
    <t>R13</t>
  </si>
  <si>
    <t>R14</t>
  </si>
  <si>
    <t>R15</t>
  </si>
  <si>
    <t>R16</t>
  </si>
  <si>
    <t>= 10 ом</t>
  </si>
  <si>
    <t>U1</t>
  </si>
  <si>
    <t>= UCC 37322 драйвер</t>
  </si>
  <si>
    <t>VD1</t>
  </si>
  <si>
    <t>VD2</t>
  </si>
  <si>
    <t>VD3</t>
  </si>
  <si>
    <t xml:space="preserve">= </t>
  </si>
  <si>
    <t>VD4</t>
  </si>
  <si>
    <t>= 1N5817</t>
  </si>
  <si>
    <t>VD5</t>
  </si>
  <si>
    <t>VD6</t>
  </si>
  <si>
    <t>mS</t>
  </si>
  <si>
    <t>s</t>
  </si>
  <si>
    <t>клеток осц</t>
  </si>
  <si>
    <t>Параметры осциллографа</t>
  </si>
  <si>
    <t>*</t>
  </si>
  <si>
    <t>Вычисление частоты по осциллографу</t>
  </si>
  <si>
    <t>в Миллисекундах</t>
  </si>
  <si>
    <t>в микросекундах</t>
  </si>
  <si>
    <t>развёртка 1 или 0,1</t>
  </si>
  <si>
    <t>время/см *1 или *2 или*5</t>
  </si>
  <si>
    <t>Для С=1мкФ; R=1кОм; ... - дает постоянную времени 1 мс.</t>
  </si>
  <si>
    <t>заряд конденсатора</t>
  </si>
  <si>
    <t>Частота в мГц</t>
  </si>
  <si>
    <t>длина М</t>
  </si>
  <si>
    <t>вычислить длину волны или частоту</t>
  </si>
  <si>
    <t>соотношение экрана фильма</t>
  </si>
  <si>
    <t>1/4 мГц</t>
  </si>
  <si>
    <t>https://ok.ru/video/9735898509</t>
  </si>
  <si>
    <t>Расчёт индуктивного и ёмкостного сопротивления производиться по формулам: </t>
  </si>
  <si>
    <t>XC=1/(2π×F×C); XL=2π×F×L, где </t>
  </si>
  <si>
    <t>XL - Индуктивное сопротивление, (Ом) </t>
  </si>
  <si>
    <t>XC - Ёмкостое сопротивление, (Ом) </t>
  </si>
  <si>
    <t>F - Частота сигнала, (Гц) </t>
  </si>
  <si>
    <t>Расчёт будет справедлив только на синусоидальном токе. </t>
  </si>
  <si>
    <t>Для расчёта какого - либо параметра необходимо ввести два других значения.</t>
  </si>
  <si>
    <t>реактив Ом</t>
  </si>
  <si>
    <t>частота КГц</t>
  </si>
  <si>
    <t>индуктивность uH</t>
  </si>
  <si>
    <t>частота кГц</t>
  </si>
  <si>
    <t>емкость мкФ</t>
  </si>
  <si>
    <t>Граната</t>
  </si>
  <si>
    <t>Индукт. uH</t>
  </si>
  <si>
    <t>гармоник</t>
  </si>
  <si>
    <t>ёмкость нФ</t>
  </si>
  <si>
    <t>индуктор</t>
  </si>
  <si>
    <t>узнать частоту</t>
  </si>
  <si>
    <t>uH</t>
  </si>
  <si>
    <t>нФ</t>
  </si>
  <si>
    <t>узнать ёмкость</t>
  </si>
  <si>
    <t>рекомендуемая частота</t>
  </si>
  <si>
    <t>Соотношение между индуктором и гранатой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</si>
</sst>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9">
    <font>
      <sz val="10"/>
      <name val="Arial Cyr"/>
      <family val="0"/>
    </font>
    <font>
      <sz val="8"/>
      <name val="Arial Cyr"/>
      <family val="0"/>
    </font>
    <font>
      <sz val="10"/>
      <color indexed="8"/>
      <name val="Verdana"/>
      <family val="2"/>
    </font>
    <font>
      <sz val="10"/>
      <color indexed="23"/>
      <name val="Arial"/>
      <family val="2"/>
    </font>
    <font>
      <sz val="10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6"/>
      <name val="Arial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0" fontId="0" fillId="7" borderId="2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0" borderId="18" xfId="0" applyBorder="1" applyAlignment="1">
      <alignment/>
    </xf>
    <xf numFmtId="0" fontId="0" fillId="3" borderId="19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0" fillId="5" borderId="18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5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4" fillId="0" borderId="23" xfId="0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2" borderId="6" xfId="0" applyFill="1" applyBorder="1" applyAlignment="1">
      <alignment/>
    </xf>
    <xf numFmtId="168" fontId="0" fillId="0" borderId="1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168" fontId="0" fillId="0" borderId="6" xfId="0" applyNumberFormat="1" applyBorder="1" applyAlignment="1">
      <alignment horizontal="right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68" fontId="0" fillId="2" borderId="19" xfId="0" applyNumberFormat="1" applyFill="1" applyBorder="1" applyAlignment="1" applyProtection="1">
      <alignment horizontal="center"/>
      <protection locked="0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2" xfId="0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21" xfId="0" applyFill="1" applyBorder="1" applyAlignment="1">
      <alignment/>
    </xf>
    <xf numFmtId="168" fontId="0" fillId="7" borderId="1" xfId="0" applyNumberFormat="1" applyFill="1" applyBorder="1" applyAlignment="1">
      <alignment horizontal="center"/>
    </xf>
    <xf numFmtId="168" fontId="0" fillId="7" borderId="19" xfId="0" applyNumberFormat="1" applyFill="1" applyBorder="1" applyAlignment="1">
      <alignment horizontal="center"/>
    </xf>
    <xf numFmtId="0" fontId="0" fillId="7" borderId="0" xfId="0" applyFill="1" applyAlignment="1">
      <alignment/>
    </xf>
    <xf numFmtId="168" fontId="0" fillId="2" borderId="6" xfId="0" applyNumberFormat="1" applyFill="1" applyBorder="1" applyAlignment="1" applyProtection="1">
      <alignment horizontal="righ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39</xdr:row>
      <xdr:rowOff>85725</xdr:rowOff>
    </xdr:from>
    <xdr:to>
      <xdr:col>13</xdr:col>
      <xdr:colOff>190500</xdr:colOff>
      <xdr:row>52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6543675"/>
          <a:ext cx="67532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53</xdr:row>
      <xdr:rowOff>28575</xdr:rowOff>
    </xdr:from>
    <xdr:to>
      <xdr:col>12</xdr:col>
      <xdr:colOff>514350</xdr:colOff>
      <xdr:row>55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8772525"/>
          <a:ext cx="424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9"/>
  <sheetViews>
    <sheetView workbookViewId="0" topLeftCell="A73">
      <selection activeCell="M87" sqref="M87"/>
    </sheetView>
  </sheetViews>
  <sheetFormatPr defaultColWidth="9.00390625" defaultRowHeight="12.75"/>
  <cols>
    <col min="1" max="1" width="7.375" style="0" customWidth="1"/>
    <col min="4" max="4" width="12.125" style="0" customWidth="1"/>
    <col min="5" max="5" width="13.625" style="0" customWidth="1"/>
    <col min="8" max="8" width="11.875" style="0" customWidth="1"/>
    <col min="9" max="9" width="13.875" style="0" customWidth="1"/>
    <col min="11" max="11" width="12.375" style="0" bestFit="1" customWidth="1"/>
    <col min="12" max="12" width="9.625" style="0" bestFit="1" customWidth="1"/>
    <col min="13" max="13" width="26.00390625" style="0" customWidth="1"/>
  </cols>
  <sheetData>
    <row r="3" ht="13.5" thickBot="1"/>
    <row r="4" spans="2:13" ht="12.75">
      <c r="B4" s="2" t="s">
        <v>0</v>
      </c>
      <c r="C4" s="58" t="s">
        <v>1</v>
      </c>
      <c r="D4" s="59"/>
      <c r="E4" s="59"/>
      <c r="F4" s="59"/>
      <c r="G4" s="59"/>
      <c r="H4" s="59"/>
      <c r="I4" s="59"/>
      <c r="J4" s="59"/>
      <c r="K4" s="59"/>
      <c r="L4" s="60"/>
      <c r="M4" s="6" t="s">
        <v>2</v>
      </c>
    </row>
    <row r="5" spans="2:13" ht="12.75">
      <c r="B5" s="1"/>
      <c r="C5" s="4" t="s">
        <v>3</v>
      </c>
      <c r="D5" s="61" t="s">
        <v>4</v>
      </c>
      <c r="E5" s="62"/>
      <c r="F5" s="63"/>
      <c r="G5" s="64" t="s">
        <v>5</v>
      </c>
      <c r="H5" s="65"/>
      <c r="I5" s="66"/>
      <c r="J5" s="67" t="s">
        <v>6</v>
      </c>
      <c r="K5" s="68"/>
      <c r="L5" s="69"/>
      <c r="M5" s="3" t="s">
        <v>17</v>
      </c>
    </row>
    <row r="6" spans="2:13" ht="12.75">
      <c r="B6" s="1" t="s">
        <v>7</v>
      </c>
      <c r="C6" s="5">
        <v>1</v>
      </c>
      <c r="D6" s="5"/>
      <c r="E6" s="5"/>
      <c r="F6" s="5"/>
      <c r="G6" s="5"/>
      <c r="H6" s="5"/>
      <c r="I6" s="5"/>
      <c r="J6" s="5"/>
      <c r="K6" s="5"/>
      <c r="L6" s="5"/>
      <c r="M6" s="1">
        <v>299792458</v>
      </c>
    </row>
    <row r="7" spans="2:13" ht="12.75">
      <c r="B7" s="1" t="s">
        <v>8</v>
      </c>
      <c r="C7" s="5"/>
      <c r="D7" s="5">
        <v>100</v>
      </c>
      <c r="E7" s="5"/>
      <c r="F7" s="5"/>
      <c r="G7" s="5"/>
      <c r="H7" s="5"/>
      <c r="I7" s="5"/>
      <c r="J7" s="5"/>
      <c r="K7" s="5"/>
      <c r="L7" s="5"/>
      <c r="M7" s="1">
        <f>M6/10</f>
        <v>29979245.8</v>
      </c>
    </row>
    <row r="8" spans="2:13" ht="12.75">
      <c r="B8" s="1" t="s">
        <v>9</v>
      </c>
      <c r="C8" s="5"/>
      <c r="D8" s="5"/>
      <c r="E8" s="5">
        <v>10</v>
      </c>
      <c r="F8" s="5"/>
      <c r="G8" s="5"/>
      <c r="H8" s="5"/>
      <c r="I8" s="5"/>
      <c r="J8" s="5"/>
      <c r="K8" s="5"/>
      <c r="L8" s="5"/>
      <c r="M8" s="1">
        <f aca="true" t="shared" si="0" ref="M8:M17">M7/10</f>
        <v>2997924.58</v>
      </c>
    </row>
    <row r="9" spans="2:13" ht="12.75">
      <c r="B9" s="1" t="s">
        <v>10</v>
      </c>
      <c r="C9" s="5"/>
      <c r="D9" s="5"/>
      <c r="E9" s="5"/>
      <c r="F9" s="5">
        <v>1</v>
      </c>
      <c r="G9" s="5"/>
      <c r="H9" s="5"/>
      <c r="I9" s="5"/>
      <c r="J9" s="5"/>
      <c r="K9" s="5"/>
      <c r="L9" s="5"/>
      <c r="M9" s="1">
        <f t="shared" si="0"/>
        <v>299792.458</v>
      </c>
    </row>
    <row r="10" spans="2:13" ht="12.75">
      <c r="B10" s="1" t="s">
        <v>11</v>
      </c>
      <c r="C10" s="5"/>
      <c r="D10" s="5"/>
      <c r="E10" s="5"/>
      <c r="F10" s="5"/>
      <c r="G10" s="5">
        <v>100</v>
      </c>
      <c r="H10" s="5"/>
      <c r="I10" s="5"/>
      <c r="J10" s="5"/>
      <c r="K10" s="5"/>
      <c r="L10" s="5"/>
      <c r="M10" s="1">
        <f t="shared" si="0"/>
        <v>29979.245799999997</v>
      </c>
    </row>
    <row r="11" spans="2:13" ht="12.75">
      <c r="B11" s="1" t="s">
        <v>12</v>
      </c>
      <c r="C11" s="5"/>
      <c r="D11" s="5"/>
      <c r="E11" s="5"/>
      <c r="F11" s="5"/>
      <c r="G11" s="5"/>
      <c r="H11" s="5">
        <v>10</v>
      </c>
      <c r="I11" s="5"/>
      <c r="J11" s="5"/>
      <c r="K11" s="5"/>
      <c r="L11" s="5"/>
      <c r="M11" s="1">
        <f t="shared" si="0"/>
        <v>2997.92458</v>
      </c>
    </row>
    <row r="12" spans="2:13" ht="12.75">
      <c r="B12" s="1" t="s">
        <v>13</v>
      </c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1">
        <f t="shared" si="0"/>
        <v>299.792458</v>
      </c>
    </row>
    <row r="13" spans="2:13" ht="12.75">
      <c r="B13" s="1" t="s">
        <v>14</v>
      </c>
      <c r="C13" s="5"/>
      <c r="D13" s="5"/>
      <c r="E13" s="5"/>
      <c r="F13" s="5"/>
      <c r="G13" s="5"/>
      <c r="H13" s="5"/>
      <c r="I13" s="5"/>
      <c r="J13" s="5">
        <v>100</v>
      </c>
      <c r="K13" s="5"/>
      <c r="L13" s="5"/>
      <c r="M13" s="1">
        <f t="shared" si="0"/>
        <v>29.9792458</v>
      </c>
    </row>
    <row r="14" spans="2:13" ht="12.75">
      <c r="B14" s="1" t="s">
        <v>15</v>
      </c>
      <c r="C14" s="5"/>
      <c r="D14" s="5"/>
      <c r="E14" s="5"/>
      <c r="F14" s="5"/>
      <c r="G14" s="5"/>
      <c r="H14" s="5"/>
      <c r="I14" s="5"/>
      <c r="J14" s="5"/>
      <c r="K14" s="5">
        <v>10</v>
      </c>
      <c r="L14" s="5"/>
      <c r="M14" s="1">
        <f t="shared" si="0"/>
        <v>2.9979245800000003</v>
      </c>
    </row>
    <row r="15" spans="2:13" ht="12.75">
      <c r="B15" s="1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>
        <v>1</v>
      </c>
      <c r="M15" s="1">
        <f t="shared" si="0"/>
        <v>0.29979245800000004</v>
      </c>
    </row>
    <row r="16" spans="2:13" ht="12.75">
      <c r="B16" s="1" t="s">
        <v>18</v>
      </c>
      <c r="C16" s="5"/>
      <c r="D16" s="5"/>
      <c r="E16" s="5"/>
      <c r="F16" s="5"/>
      <c r="G16" s="5"/>
      <c r="H16" s="5"/>
      <c r="I16" s="5"/>
      <c r="J16" s="5"/>
      <c r="K16" s="5"/>
      <c r="L16" s="5">
        <v>0.1</v>
      </c>
      <c r="M16" s="1">
        <f t="shared" si="0"/>
        <v>0.029979245800000005</v>
      </c>
    </row>
    <row r="17" spans="2:13" ht="12.75">
      <c r="B17" s="7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>
        <v>0.01</v>
      </c>
      <c r="M17" s="1">
        <f t="shared" si="0"/>
        <v>0.0029979245800000006</v>
      </c>
    </row>
    <row r="19" ht="12.75">
      <c r="K19" t="s">
        <v>118</v>
      </c>
    </row>
    <row r="20" spans="2:11" ht="12.75">
      <c r="B20" t="s">
        <v>20</v>
      </c>
      <c r="K20" s="28" t="s">
        <v>117</v>
      </c>
    </row>
    <row r="21" spans="2:7" ht="13.5" thickBot="1">
      <c r="B21" t="s">
        <v>21</v>
      </c>
      <c r="C21" t="s">
        <v>24</v>
      </c>
      <c r="D21" t="s">
        <v>26</v>
      </c>
      <c r="F21" s="70" t="s">
        <v>30</v>
      </c>
      <c r="G21" s="70"/>
    </row>
    <row r="22" spans="2:7" ht="12.75">
      <c r="B22" t="s">
        <v>22</v>
      </c>
      <c r="C22" t="s">
        <v>25</v>
      </c>
      <c r="D22" t="s">
        <v>23</v>
      </c>
      <c r="F22" s="9" t="s">
        <v>23</v>
      </c>
      <c r="G22" s="8" t="s">
        <v>29</v>
      </c>
    </row>
    <row r="23" spans="2:7" ht="13.5" thickBot="1">
      <c r="B23" t="s">
        <v>27</v>
      </c>
      <c r="C23" t="s">
        <v>24</v>
      </c>
      <c r="D23" t="s">
        <v>28</v>
      </c>
      <c r="F23" s="11">
        <v>1721</v>
      </c>
      <c r="G23" s="10">
        <f>1000/F23</f>
        <v>0.5810575246949448</v>
      </c>
    </row>
    <row r="25" spans="1:14" ht="13.5" thickBot="1">
      <c r="A25" s="70" t="s">
        <v>30</v>
      </c>
      <c r="B25" s="70"/>
      <c r="C25" s="70" t="s">
        <v>30</v>
      </c>
      <c r="D25" s="70"/>
      <c r="F25" s="70" t="s">
        <v>30</v>
      </c>
      <c r="G25" s="70"/>
      <c r="M25" s="70" t="s">
        <v>121</v>
      </c>
      <c r="N25" s="70"/>
    </row>
    <row r="26" spans="1:14" ht="12.75">
      <c r="A26" s="8" t="s">
        <v>108</v>
      </c>
      <c r="B26" s="9" t="s">
        <v>23</v>
      </c>
      <c r="C26" s="8" t="s">
        <v>107</v>
      </c>
      <c r="D26" s="9" t="s">
        <v>23</v>
      </c>
      <c r="F26" s="8" t="s">
        <v>29</v>
      </c>
      <c r="G26" s="9" t="s">
        <v>23</v>
      </c>
      <c r="M26" s="29" t="s">
        <v>119</v>
      </c>
      <c r="N26" s="30" t="s">
        <v>120</v>
      </c>
    </row>
    <row r="27" spans="1:16" ht="13.5" thickBot="1">
      <c r="A27" s="11">
        <v>1</v>
      </c>
      <c r="B27" s="10">
        <f>A27/1000</f>
        <v>0.001</v>
      </c>
      <c r="C27" s="11">
        <v>300</v>
      </c>
      <c r="D27" s="10">
        <f>C27</f>
        <v>300</v>
      </c>
      <c r="F27" s="11">
        <v>2</v>
      </c>
      <c r="G27" s="10">
        <f>1000/F27</f>
        <v>500</v>
      </c>
      <c r="M27" s="31">
        <v>1.875</v>
      </c>
      <c r="N27" s="32">
        <f>300/M27</f>
        <v>160</v>
      </c>
      <c r="P27" t="s">
        <v>123</v>
      </c>
    </row>
    <row r="28" spans="13:16" ht="13.5" thickBot="1">
      <c r="M28" s="33">
        <f>300/N28</f>
        <v>7.5</v>
      </c>
      <c r="N28" s="34">
        <v>40</v>
      </c>
      <c r="P28">
        <f>M28/4</f>
        <v>1.875</v>
      </c>
    </row>
    <row r="29" ht="13.5" thickBot="1"/>
    <row r="30" spans="3:7" ht="13.5" thickBot="1">
      <c r="C30" s="74" t="s">
        <v>32</v>
      </c>
      <c r="G30" s="74" t="s">
        <v>33</v>
      </c>
    </row>
    <row r="31" spans="3:10" ht="13.5" thickBot="1">
      <c r="C31" s="75"/>
      <c r="E31" s="13" t="s">
        <v>31</v>
      </c>
      <c r="G31" s="76"/>
      <c r="J31" t="s">
        <v>124</v>
      </c>
    </row>
    <row r="32" spans="3:7" ht="13.5" thickBot="1">
      <c r="C32" s="12">
        <v>6</v>
      </c>
      <c r="E32" s="12">
        <v>0.5</v>
      </c>
      <c r="G32" s="12">
        <f>C32/E32</f>
        <v>12</v>
      </c>
    </row>
    <row r="34" ht="13.5" thickBot="1">
      <c r="C34">
        <f>E32*G32</f>
        <v>6</v>
      </c>
    </row>
    <row r="35" spans="2:13" ht="13.5" thickBot="1">
      <c r="B35" s="71" t="s">
        <v>112</v>
      </c>
      <c r="C35" s="72"/>
      <c r="D35" s="72"/>
      <c r="E35" s="72"/>
      <c r="F35" s="72"/>
      <c r="G35" s="72"/>
      <c r="H35" s="72"/>
      <c r="I35" s="72"/>
      <c r="J35" s="72"/>
      <c r="K35" s="23" t="s">
        <v>110</v>
      </c>
      <c r="L35" s="23"/>
      <c r="M35" s="24"/>
    </row>
    <row r="36" spans="2:13" ht="13.5" thickBot="1">
      <c r="B36" s="73" t="s">
        <v>113</v>
      </c>
      <c r="C36" s="70"/>
      <c r="D36" s="70"/>
      <c r="E36" s="25"/>
      <c r="F36" s="70" t="s">
        <v>114</v>
      </c>
      <c r="G36" s="70"/>
      <c r="H36" s="70"/>
      <c r="I36" s="25"/>
      <c r="J36" s="25"/>
      <c r="K36" s="19">
        <v>1</v>
      </c>
      <c r="L36" s="20"/>
      <c r="M36" s="21" t="s">
        <v>115</v>
      </c>
    </row>
    <row r="37" spans="2:13" ht="13.5" thickBot="1">
      <c r="B37" s="8" t="s">
        <v>107</v>
      </c>
      <c r="C37" s="9" t="s">
        <v>23</v>
      </c>
      <c r="D37" s="14" t="s">
        <v>109</v>
      </c>
      <c r="E37" s="25"/>
      <c r="F37" s="8" t="s">
        <v>29</v>
      </c>
      <c r="G37" s="9" t="s">
        <v>23</v>
      </c>
      <c r="H37" s="22" t="s">
        <v>109</v>
      </c>
      <c r="I37" s="25"/>
      <c r="J37" s="25"/>
      <c r="K37" s="16">
        <v>1</v>
      </c>
      <c r="L37" s="17" t="s">
        <v>111</v>
      </c>
      <c r="M37" s="18" t="s">
        <v>116</v>
      </c>
    </row>
    <row r="38" spans="2:13" ht="13.5" thickBot="1">
      <c r="B38" s="11">
        <v>0.1</v>
      </c>
      <c r="C38" s="10">
        <f>1/((B38*K37)*K36)/D38</f>
        <v>1</v>
      </c>
      <c r="D38" s="15">
        <v>10</v>
      </c>
      <c r="E38" s="26"/>
      <c r="F38" s="11">
        <v>0.025</v>
      </c>
      <c r="G38" s="10">
        <f>1000/((F38*K37)*K36)/H38</f>
        <v>40000</v>
      </c>
      <c r="H38" s="12">
        <v>1</v>
      </c>
      <c r="I38" s="26"/>
      <c r="J38" s="26"/>
      <c r="K38" s="26"/>
      <c r="L38" s="26"/>
      <c r="M38" s="27"/>
    </row>
    <row r="41" ht="13.5" thickBot="1">
      <c r="C41" t="s">
        <v>122</v>
      </c>
    </row>
    <row r="42" spans="3:6" ht="12.75">
      <c r="C42" s="35">
        <v>1280</v>
      </c>
      <c r="D42" s="23">
        <v>720</v>
      </c>
      <c r="E42" s="23"/>
      <c r="F42" s="24">
        <f>4/12</f>
        <v>0.3333333333333333</v>
      </c>
    </row>
    <row r="43" spans="3:6" ht="12.75">
      <c r="C43" s="36"/>
      <c r="D43" s="25"/>
      <c r="E43" s="25"/>
      <c r="F43" s="37"/>
    </row>
    <row r="44" spans="3:6" ht="12.75">
      <c r="C44" s="36">
        <f>272/F42</f>
        <v>816</v>
      </c>
      <c r="D44" s="25">
        <v>272</v>
      </c>
      <c r="E44" s="25"/>
      <c r="F44" s="37"/>
    </row>
    <row r="45" spans="3:6" ht="13.5" thickBot="1">
      <c r="C45" s="16">
        <v>480</v>
      </c>
      <c r="D45" s="26">
        <f>480*F42</f>
        <v>160</v>
      </c>
      <c r="E45" s="26"/>
      <c r="F45" s="27"/>
    </row>
    <row r="59" ht="12.75">
      <c r="D59" s="38" t="s">
        <v>125</v>
      </c>
    </row>
    <row r="60" ht="12.75">
      <c r="D60" s="38" t="s">
        <v>126</v>
      </c>
    </row>
    <row r="61" ht="12.75">
      <c r="D61" s="38" t="s">
        <v>127</v>
      </c>
    </row>
    <row r="62" ht="12.75">
      <c r="D62" s="38" t="s">
        <v>128</v>
      </c>
    </row>
    <row r="63" ht="12.75">
      <c r="D63" s="38" t="s">
        <v>129</v>
      </c>
    </row>
    <row r="64" ht="12.75">
      <c r="D64" s="38" t="s">
        <v>130</v>
      </c>
    </row>
    <row r="65" ht="12.75">
      <c r="D65" s="38" t="s">
        <v>131</v>
      </c>
    </row>
    <row r="67" ht="12.75">
      <c r="E67">
        <f>PI()</f>
        <v>3.141592653589793</v>
      </c>
    </row>
    <row r="68" ht="13.5" thickBot="1"/>
    <row r="69" spans="4:9" ht="13.5" thickBot="1">
      <c r="D69" s="29" t="s">
        <v>135</v>
      </c>
      <c r="E69" s="44">
        <v>16</v>
      </c>
      <c r="G69" s="77" t="s">
        <v>133</v>
      </c>
      <c r="H69" s="78"/>
      <c r="I69" s="44">
        <v>16</v>
      </c>
    </row>
    <row r="70" spans="4:9" ht="13.5" thickBot="1">
      <c r="D70" s="39" t="s">
        <v>136</v>
      </c>
      <c r="E70" s="46">
        <v>1.20666425</v>
      </c>
      <c r="G70" s="79" t="s">
        <v>134</v>
      </c>
      <c r="H70" s="80"/>
      <c r="I70" s="45">
        <v>82</v>
      </c>
    </row>
    <row r="71" spans="4:9" ht="13.5" thickBot="1">
      <c r="D71" s="40" t="s">
        <v>132</v>
      </c>
      <c r="E71" s="41">
        <f>1/(2*PI()*E69*E70)*1000</f>
        <v>8.243539114748332</v>
      </c>
      <c r="G71" s="81" t="s">
        <v>132</v>
      </c>
      <c r="H71" s="82"/>
      <c r="I71" s="42">
        <f>2*PI()*I69*I70/1000</f>
        <v>8.243539123019616</v>
      </c>
    </row>
    <row r="72" spans="7:9" ht="13.5" thickBot="1">
      <c r="G72" s="83" t="s">
        <v>136</v>
      </c>
      <c r="H72" s="84"/>
      <c r="I72" s="43">
        <f>1/(2*PI()*I71*I69)*1000</f>
        <v>1.2066642487892745</v>
      </c>
    </row>
    <row r="74" spans="3:9" ht="20.25">
      <c r="C74" s="86" t="s">
        <v>147</v>
      </c>
      <c r="D74" s="85"/>
      <c r="E74" s="85"/>
      <c r="F74" s="85"/>
      <c r="G74" s="85"/>
      <c r="H74" s="85"/>
      <c r="I74" s="85"/>
    </row>
    <row r="75" ht="13.5" thickBot="1"/>
    <row r="76" spans="3:12" ht="12.75">
      <c r="C76" s="58" t="s">
        <v>137</v>
      </c>
      <c r="D76" s="59"/>
      <c r="E76" s="60"/>
      <c r="G76" s="58" t="s">
        <v>141</v>
      </c>
      <c r="H76" s="59"/>
      <c r="I76" s="60"/>
      <c r="K76" s="58" t="s">
        <v>142</v>
      </c>
      <c r="L76" s="60"/>
    </row>
    <row r="77" spans="3:12" ht="12.75">
      <c r="C77" s="95"/>
      <c r="D77" s="4" t="s">
        <v>138</v>
      </c>
      <c r="E77" s="32" t="s">
        <v>140</v>
      </c>
      <c r="G77" s="94" t="s">
        <v>139</v>
      </c>
      <c r="H77" s="4" t="s">
        <v>138</v>
      </c>
      <c r="I77" s="32" t="s">
        <v>140</v>
      </c>
      <c r="K77" s="91" t="s">
        <v>143</v>
      </c>
      <c r="L77" s="93" t="s">
        <v>144</v>
      </c>
    </row>
    <row r="78" spans="3:12" ht="13.5" thickBot="1">
      <c r="C78" s="47"/>
      <c r="D78" s="53">
        <v>185</v>
      </c>
      <c r="E78" s="54">
        <v>236.9188</v>
      </c>
      <c r="G78" s="47"/>
      <c r="H78" s="53">
        <v>85</v>
      </c>
      <c r="I78" s="54">
        <v>515.6469</v>
      </c>
      <c r="K78" s="55">
        <v>185</v>
      </c>
      <c r="L78" s="56">
        <v>100</v>
      </c>
    </row>
    <row r="79" spans="11:12" ht="13.5" thickBot="1">
      <c r="K79" s="52">
        <f>(1/(2*PI()*SQRT(K78*(L78/1000))))*1000</f>
        <v>37.00277265767953</v>
      </c>
      <c r="L79" s="51" t="s">
        <v>23</v>
      </c>
    </row>
    <row r="80" spans="3:9" ht="12.75">
      <c r="C80" s="88" t="s">
        <v>139</v>
      </c>
      <c r="D80" s="89" t="s">
        <v>133</v>
      </c>
      <c r="E80" s="90" t="s">
        <v>140</v>
      </c>
      <c r="G80" s="88" t="s">
        <v>139</v>
      </c>
      <c r="H80" s="89" t="s">
        <v>133</v>
      </c>
      <c r="I80" s="90" t="s">
        <v>140</v>
      </c>
    </row>
    <row r="81" spans="3:9" ht="13.5" thickBot="1">
      <c r="C81" s="91">
        <v>-10</v>
      </c>
      <c r="D81" s="48">
        <f>D90/10</f>
        <v>2.404000232370998</v>
      </c>
      <c r="E81" s="50">
        <f>(1/(4*POWER(PI(),2)*POWER(D81,2)*D78/1000))*1000000</f>
        <v>23691.88000000001</v>
      </c>
      <c r="G81" s="91">
        <v>-10</v>
      </c>
      <c r="H81" s="48">
        <f>H90/10</f>
        <v>2.4039999992657135</v>
      </c>
      <c r="I81" s="50">
        <f>(1/(4*POWER(PI(),2)*POWER(H81,2)*H78/1000))*1000000</f>
        <v>51564.69</v>
      </c>
    </row>
    <row r="82" spans="3:12" ht="12.75">
      <c r="C82" s="91">
        <v>-9</v>
      </c>
      <c r="D82" s="48">
        <f>D90/9</f>
        <v>2.671111369301109</v>
      </c>
      <c r="E82" s="50">
        <f>(1/(4*POWER(PI(),2)*POWER(D82,2)*D78/1000))*1000000</f>
        <v>19190.422800000004</v>
      </c>
      <c r="G82" s="91">
        <v>-9</v>
      </c>
      <c r="H82" s="48">
        <f>H90/9</f>
        <v>2.6711111102952376</v>
      </c>
      <c r="I82" s="50">
        <f>(1/(4*POWER(PI(),2)*POWER(H82,2)*H78/1000))*1000000</f>
        <v>41767.398899999986</v>
      </c>
      <c r="K82" s="58" t="s">
        <v>145</v>
      </c>
      <c r="L82" s="60"/>
    </row>
    <row r="83" spans="3:12" ht="12.75">
      <c r="C83" s="91">
        <v>-8</v>
      </c>
      <c r="D83" s="48">
        <f>D90/8</f>
        <v>3.0050002904637476</v>
      </c>
      <c r="E83" s="50">
        <f>(1/(4*POWER(PI(),2)*POWER(D83,2)*D78/1000))*1000000</f>
        <v>15162.803200000004</v>
      </c>
      <c r="G83" s="91">
        <v>-8</v>
      </c>
      <c r="H83" s="48">
        <f>H90/8</f>
        <v>3.004999999082142</v>
      </c>
      <c r="I83" s="50">
        <f>(1/(4*POWER(PI(),2)*POWER(H83,2)*H78/1000))*1000000</f>
        <v>33001.4016</v>
      </c>
      <c r="K83" s="91" t="s">
        <v>143</v>
      </c>
      <c r="L83" s="93" t="s">
        <v>23</v>
      </c>
    </row>
    <row r="84" spans="3:12" ht="12.75">
      <c r="C84" s="91">
        <v>-7</v>
      </c>
      <c r="D84" s="48">
        <f>D90/7</f>
        <v>3.434286046244283</v>
      </c>
      <c r="E84" s="50">
        <f>(1/(4*POWER(PI(),2)*POWER(D84,2)*D78/1000))*1000000</f>
        <v>11609.021200000001</v>
      </c>
      <c r="G84" s="91">
        <v>-7</v>
      </c>
      <c r="H84" s="48">
        <f>H90/7</f>
        <v>3.4342857132367337</v>
      </c>
      <c r="I84" s="50">
        <f>(1/(4*POWER(PI(),2)*POWER(H84,2)*H78/1000))*1000000</f>
        <v>25266.698099999998</v>
      </c>
      <c r="K84" s="55">
        <v>185</v>
      </c>
      <c r="L84" s="57">
        <v>17.76891</v>
      </c>
    </row>
    <row r="85" spans="3:12" ht="13.5" thickBot="1">
      <c r="C85" s="91">
        <v>-6</v>
      </c>
      <c r="D85" s="48">
        <f>D90/6</f>
        <v>4.006667053951664</v>
      </c>
      <c r="E85" s="50">
        <f>(1/(4*POWER(PI(),2)*POWER(D85,2)*D78/1000))*1000000</f>
        <v>8529.076799999999</v>
      </c>
      <c r="G85" s="91">
        <v>-6</v>
      </c>
      <c r="H85" s="48">
        <f>H90/6</f>
        <v>4.006666665442856</v>
      </c>
      <c r="I85" s="50">
        <f>(1/(4*POWER(PI(),2)*POWER(H85,2)*H78/1000))*1000000</f>
        <v>18563.28839999999</v>
      </c>
      <c r="K85" s="52">
        <f>(1/(4*POWER(PI(),2)*POWER(L84,2)*K84))*1000000000</f>
        <v>433.6575976234004</v>
      </c>
      <c r="L85" s="51" t="s">
        <v>144</v>
      </c>
    </row>
    <row r="86" spans="3:9" ht="12.75">
      <c r="C86" s="91">
        <v>-5</v>
      </c>
      <c r="D86" s="48">
        <f>D90/5</f>
        <v>4.808000464741996</v>
      </c>
      <c r="E86" s="50">
        <f>(1/(4*POWER(PI(),2)*POWER(D86,2)*D78/1000))*1000000</f>
        <v>5922.970000000002</v>
      </c>
      <c r="G86" s="91">
        <v>-5</v>
      </c>
      <c r="H86" s="48">
        <f>H90/5</f>
        <v>4.807999998531427</v>
      </c>
      <c r="I86" s="50">
        <f>(1/(4*POWER(PI(),2)*POWER(H86,2)*H78/1000))*1000000</f>
        <v>12891.1725</v>
      </c>
    </row>
    <row r="87" spans="3:9" ht="12.75">
      <c r="C87" s="91">
        <v>-4</v>
      </c>
      <c r="D87" s="48">
        <f>D90/4</f>
        <v>6.010000580927495</v>
      </c>
      <c r="E87" s="50">
        <f>(1/(4*POWER(PI(),2)*POWER(D87,2)*D78/1000))*1000000</f>
        <v>3790.700800000001</v>
      </c>
      <c r="G87" s="91">
        <v>-4</v>
      </c>
      <c r="H87" s="48">
        <f>H90/4</f>
        <v>6.009999998164284</v>
      </c>
      <c r="I87" s="50">
        <f>(1/(4*POWER(PI(),2)*POWER(H87,2)*H78/1000))*1000000</f>
        <v>8250.3504</v>
      </c>
    </row>
    <row r="88" spans="3:9" ht="12.75">
      <c r="C88" s="91">
        <v>-3</v>
      </c>
      <c r="D88" s="48">
        <f>D90/3</f>
        <v>8.013334107903328</v>
      </c>
      <c r="E88" s="50">
        <f>(1/(4*POWER(PI(),2)*POWER(D88,2)*D78/1000))*1000000</f>
        <v>2132.2691999999997</v>
      </c>
      <c r="G88" s="91">
        <v>-3</v>
      </c>
      <c r="H88" s="48">
        <f>H90/3</f>
        <v>8.013333330885713</v>
      </c>
      <c r="I88" s="50">
        <f>(1/(4*POWER(PI(),2)*POWER(H88,2)*H78/1000))*1000000</f>
        <v>4640.822099999998</v>
      </c>
    </row>
    <row r="89" spans="3:9" ht="13.5" thickBot="1">
      <c r="C89" s="91">
        <v>-2</v>
      </c>
      <c r="D89" s="48">
        <f>D90/2</f>
        <v>12.02000116185499</v>
      </c>
      <c r="E89" s="50">
        <f>(1/(4*POWER(PI(),2)*POWER(D89,2)*D78/1000))*1000000</f>
        <v>947.6752000000002</v>
      </c>
      <c r="G89" s="91">
        <v>-2</v>
      </c>
      <c r="H89" s="48">
        <f>H90/2</f>
        <v>12.019999996328568</v>
      </c>
      <c r="I89" s="50">
        <f>(1/(4*POWER(PI(),2)*POWER(H89,2)*H78/1000))*1000000</f>
        <v>2062.5876</v>
      </c>
    </row>
    <row r="90" spans="3:12" ht="12.75">
      <c r="C90" s="91">
        <v>1</v>
      </c>
      <c r="D90" s="96">
        <f>(1/(2*PI()*SQRT(D78*E78/1000)))*1000</f>
        <v>24.04000232370998</v>
      </c>
      <c r="E90" s="97">
        <f>E78</f>
        <v>236.9188</v>
      </c>
      <c r="G90" s="91">
        <v>1</v>
      </c>
      <c r="H90" s="96">
        <f>(1/(2*PI()*SQRT(H78*I78/1000)))*1000</f>
        <v>24.039999992657137</v>
      </c>
      <c r="I90" s="97">
        <f>I78</f>
        <v>515.6469</v>
      </c>
      <c r="K90" s="35" t="s">
        <v>146</v>
      </c>
      <c r="L90" s="24"/>
    </row>
    <row r="91" spans="3:12" ht="13.5" thickBot="1">
      <c r="C91" s="91">
        <v>2</v>
      </c>
      <c r="D91" s="48">
        <f>D90*2</f>
        <v>48.08000464741996</v>
      </c>
      <c r="E91" s="50">
        <f>(1/(4*POWER(PI(),2)*POWER(D91,2)*D78/1000))*1000000</f>
        <v>59.229700000000015</v>
      </c>
      <c r="G91" s="91">
        <v>2</v>
      </c>
      <c r="H91" s="48">
        <f>H90*2</f>
        <v>48.079999985314274</v>
      </c>
      <c r="I91" s="50">
        <f>(1/(4*POWER(PI(),2)*POWER(H91,2)*H78/1000))*1000000</f>
        <v>128.911725</v>
      </c>
      <c r="K91" s="16">
        <f>D90/4</f>
        <v>6.010000580927495</v>
      </c>
      <c r="L91" s="27"/>
    </row>
    <row r="92" spans="3:9" ht="12.75">
      <c r="C92" s="91">
        <v>3</v>
      </c>
      <c r="D92" s="48">
        <f>D90*3</f>
        <v>72.12000697112994</v>
      </c>
      <c r="E92" s="50">
        <f>(1/(4*POWER(PI(),2)*POWER(D92,2)*D78/1000))*1000000</f>
        <v>26.32431111111112</v>
      </c>
      <c r="G92" s="91">
        <v>3</v>
      </c>
      <c r="H92" s="48">
        <f>H90*3</f>
        <v>72.11999997797142</v>
      </c>
      <c r="I92" s="50">
        <f>(1/(4*POWER(PI(),2)*POWER(H92,2)*H78/1000))*1000000</f>
        <v>57.294099999999986</v>
      </c>
    </row>
    <row r="93" spans="3:9" ht="12.75">
      <c r="C93" s="91">
        <v>4</v>
      </c>
      <c r="D93" s="48">
        <f>D90*4</f>
        <v>96.16000929483992</v>
      </c>
      <c r="E93" s="50">
        <f>(1/(4*POWER(PI(),2)*POWER(D93,2)*D78/1000))*1000000</f>
        <v>14.807425000000004</v>
      </c>
      <c r="G93" s="91">
        <v>4</v>
      </c>
      <c r="H93" s="48">
        <f>H90*4</f>
        <v>96.15999997062855</v>
      </c>
      <c r="I93" s="50">
        <f>(1/(4*POWER(PI(),2)*POWER(H93,2)*H78/1000))*1000000</f>
        <v>32.22793125</v>
      </c>
    </row>
    <row r="94" spans="3:12" ht="12.75">
      <c r="C94" s="91">
        <v>5</v>
      </c>
      <c r="D94" s="48">
        <f>D90*5</f>
        <v>120.20001161854991</v>
      </c>
      <c r="E94" s="50">
        <f>(1/(4*POWER(PI(),2)*POWER(D94,2)*D78/1000))*1000000</f>
        <v>9.476752</v>
      </c>
      <c r="G94" s="91">
        <v>5</v>
      </c>
      <c r="H94" s="48">
        <f>H90*5</f>
        <v>120.19999996328568</v>
      </c>
      <c r="I94" s="50">
        <f>(1/(4*POWER(PI(),2)*POWER(H94,2)*H78/1000))*1000000</f>
        <v>20.625875999999995</v>
      </c>
      <c r="K94">
        <f>(D89+D90)/2</f>
        <v>18.030001742782485</v>
      </c>
      <c r="L94">
        <f>(E89+E90)/2</f>
        <v>592.2970000000001</v>
      </c>
    </row>
    <row r="95" spans="3:12" ht="12.75">
      <c r="C95" s="91">
        <v>6</v>
      </c>
      <c r="D95" s="48">
        <f>D90*6</f>
        <v>144.24001394225988</v>
      </c>
      <c r="E95" s="50">
        <f>(1/(4*POWER(PI(),2)*POWER(D95,2)*D78/1000))*1000000</f>
        <v>6.58107777777778</v>
      </c>
      <c r="G95" s="91">
        <v>6</v>
      </c>
      <c r="H95" s="48">
        <f>H90*6</f>
        <v>144.23999995594284</v>
      </c>
      <c r="I95" s="50">
        <f>(1/(4*POWER(PI(),2)*POWER(H95,2)*H78/1000))*1000000</f>
        <v>14.323524999999997</v>
      </c>
      <c r="K95" s="98">
        <f>(D90-(D90/4))</f>
        <v>18.030001742782485</v>
      </c>
      <c r="L95" s="98">
        <f>(E90-(E90/4))</f>
        <v>177.6891</v>
      </c>
    </row>
    <row r="96" spans="3:12" ht="12.75">
      <c r="C96" s="91">
        <v>7</v>
      </c>
      <c r="D96" s="48">
        <f>D90*7</f>
        <v>168.28001626596986</v>
      </c>
      <c r="E96" s="50">
        <f>(1/(4*POWER(PI(),2)*POWER(D96,2)*D78/1000))*1000000</f>
        <v>4.835077551020409</v>
      </c>
      <c r="G96" s="91">
        <v>7</v>
      </c>
      <c r="H96" s="48">
        <f>H90*7</f>
        <v>168.27999994859996</v>
      </c>
      <c r="I96" s="50">
        <f>(1/(4*POWER(PI(),2)*POWER(H96,2)*H78/1000))*1000000</f>
        <v>10.523406122448979</v>
      </c>
      <c r="K96">
        <f>(D90+D91)/2</f>
        <v>36.06000348556497</v>
      </c>
      <c r="L96">
        <f>(E90+E91)/2</f>
        <v>148.07425</v>
      </c>
    </row>
    <row r="97" spans="3:9" ht="12.75">
      <c r="C97" s="91">
        <v>8</v>
      </c>
      <c r="D97" s="48">
        <f>D90*8</f>
        <v>192.32001858967985</v>
      </c>
      <c r="E97" s="50">
        <f>(1/(4*POWER(PI(),2)*POWER(D97,2)*D78/1000))*1000000</f>
        <v>3.701856250000001</v>
      </c>
      <c r="G97" s="91">
        <v>8</v>
      </c>
      <c r="H97" s="48">
        <f>H90*8</f>
        <v>192.3199999412571</v>
      </c>
      <c r="I97" s="50">
        <f>(1/(4*POWER(PI(),2)*POWER(H97,2)*H78/1000))*1000000</f>
        <v>8.0569828125</v>
      </c>
    </row>
    <row r="98" spans="3:9" ht="12.75">
      <c r="C98" s="91">
        <v>9</v>
      </c>
      <c r="D98" s="48">
        <f>D90*9</f>
        <v>216.36002091338983</v>
      </c>
      <c r="E98" s="50">
        <f>(1/(4*POWER(PI(),2)*POWER(D98,2)*D78/1000))*1000000</f>
        <v>2.9249234567901237</v>
      </c>
      <c r="G98" s="91">
        <v>9</v>
      </c>
      <c r="H98" s="48">
        <f>H90*9</f>
        <v>216.35999993391422</v>
      </c>
      <c r="I98" s="50">
        <f>(1/(4*POWER(PI(),2)*POWER(H98,2)*H78/1000))*1000000</f>
        <v>6.36601111111111</v>
      </c>
    </row>
    <row r="99" spans="3:9" ht="13.5" thickBot="1">
      <c r="C99" s="92">
        <v>10</v>
      </c>
      <c r="D99" s="49">
        <f>D90*10</f>
        <v>240.40002323709982</v>
      </c>
      <c r="E99" s="87">
        <f>(1/(4*POWER(PI(),2)*POWER(D99,2)*D78/1000))*1000000</f>
        <v>2.369188</v>
      </c>
      <c r="G99" s="92">
        <v>10</v>
      </c>
      <c r="H99" s="49">
        <f>H90*10</f>
        <v>240.39999992657135</v>
      </c>
      <c r="I99" s="87">
        <f>(1/(4*POWER(PI(),2)*POWER(H99,2)*H78/1000))*1000000</f>
        <v>5.156468999999999</v>
      </c>
    </row>
  </sheetData>
  <sheetProtection/>
  <mergeCells count="23">
    <mergeCell ref="C74:I74"/>
    <mergeCell ref="C76:E76"/>
    <mergeCell ref="G76:I76"/>
    <mergeCell ref="K76:L76"/>
    <mergeCell ref="K82:L82"/>
    <mergeCell ref="G69:H69"/>
    <mergeCell ref="G70:H70"/>
    <mergeCell ref="G71:H71"/>
    <mergeCell ref="G72:H72"/>
    <mergeCell ref="F21:G21"/>
    <mergeCell ref="M25:N25"/>
    <mergeCell ref="A25:B25"/>
    <mergeCell ref="C25:D25"/>
    <mergeCell ref="F36:H36"/>
    <mergeCell ref="B35:J35"/>
    <mergeCell ref="B36:D36"/>
    <mergeCell ref="F25:G25"/>
    <mergeCell ref="C30:C31"/>
    <mergeCell ref="G30:G31"/>
    <mergeCell ref="C4:L4"/>
    <mergeCell ref="D5:F5"/>
    <mergeCell ref="G5:I5"/>
    <mergeCell ref="J5:L5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7"/>
  <sheetViews>
    <sheetView tabSelected="1" workbookViewId="0" topLeftCell="A3">
      <selection activeCell="O10" sqref="O10"/>
    </sheetView>
  </sheetViews>
  <sheetFormatPr defaultColWidth="9.00390625" defaultRowHeight="12.75"/>
  <cols>
    <col min="4" max="4" width="12.75390625" style="0" customWidth="1"/>
    <col min="8" max="8" width="12.25390625" style="0" customWidth="1"/>
    <col min="10" max="10" width="12.625" style="0" customWidth="1"/>
  </cols>
  <sheetData>
    <row r="2" spans="2:8" ht="20.25">
      <c r="B2" s="86" t="s">
        <v>147</v>
      </c>
      <c r="C2" s="85"/>
      <c r="D2" s="85"/>
      <c r="E2" s="85"/>
      <c r="F2" s="85"/>
      <c r="G2" s="85"/>
      <c r="H2" s="85"/>
    </row>
    <row r="3" ht="13.5" thickBot="1"/>
    <row r="4" spans="2:11" ht="12.75">
      <c r="B4" s="58" t="s">
        <v>137</v>
      </c>
      <c r="C4" s="59"/>
      <c r="D4" s="60"/>
      <c r="F4" s="58" t="s">
        <v>141</v>
      </c>
      <c r="G4" s="59"/>
      <c r="H4" s="60"/>
      <c r="J4" s="58" t="s">
        <v>142</v>
      </c>
      <c r="K4" s="60"/>
    </row>
    <row r="5" spans="2:11" ht="12.75">
      <c r="B5" s="95"/>
      <c r="C5" s="4" t="s">
        <v>138</v>
      </c>
      <c r="D5" s="32" t="s">
        <v>140</v>
      </c>
      <c r="F5" s="94" t="s">
        <v>139</v>
      </c>
      <c r="G5" s="4" t="s">
        <v>138</v>
      </c>
      <c r="H5" s="32" t="s">
        <v>140</v>
      </c>
      <c r="J5" s="91" t="s">
        <v>143</v>
      </c>
      <c r="K5" s="93" t="s">
        <v>144</v>
      </c>
    </row>
    <row r="6" spans="2:11" ht="13.5" thickBot="1">
      <c r="B6" s="47"/>
      <c r="C6" s="53">
        <v>185</v>
      </c>
      <c r="D6" s="54">
        <v>534.8458</v>
      </c>
      <c r="F6" s="47"/>
      <c r="G6" s="53">
        <v>80</v>
      </c>
      <c r="H6" s="99">
        <v>1236.8309</v>
      </c>
      <c r="J6" s="55">
        <v>185</v>
      </c>
      <c r="K6" s="56">
        <v>100</v>
      </c>
    </row>
    <row r="7" spans="10:11" ht="13.5" thickBot="1">
      <c r="J7" s="52">
        <f>(1/(2*PI()*SQRT(J6*(K6/1000))))*1000</f>
        <v>37.00277265767953</v>
      </c>
      <c r="K7" s="51" t="s">
        <v>23</v>
      </c>
    </row>
    <row r="8" spans="2:8" ht="12.75">
      <c r="B8" s="88" t="s">
        <v>139</v>
      </c>
      <c r="C8" s="89" t="s">
        <v>133</v>
      </c>
      <c r="D8" s="90" t="s">
        <v>140</v>
      </c>
      <c r="F8" s="88" t="s">
        <v>139</v>
      </c>
      <c r="G8" s="89" t="s">
        <v>133</v>
      </c>
      <c r="H8" s="90" t="s">
        <v>140</v>
      </c>
    </row>
    <row r="9" spans="2:8" ht="13.5" thickBot="1">
      <c r="B9" s="91">
        <v>-10</v>
      </c>
      <c r="C9" s="48">
        <f>C18/10</f>
        <v>1.5999999628139985</v>
      </c>
      <c r="D9" s="50">
        <f>(1/(4*POWER(PI(),2)*POWER(C9,2)*C6/1000))*1000000</f>
        <v>53484.580000000016</v>
      </c>
      <c r="F9" s="91">
        <v>-10</v>
      </c>
      <c r="G9" s="48">
        <f>G18/10</f>
        <v>1.5999999708991783</v>
      </c>
      <c r="H9" s="50">
        <f>(1/(4*POWER(PI(),2)*POWER(G9,2)*G6/1000))*1000000</f>
        <v>123683.09000000001</v>
      </c>
    </row>
    <row r="10" spans="2:11" ht="12.75">
      <c r="B10" s="91">
        <v>-9</v>
      </c>
      <c r="C10" s="48">
        <f>C18/9</f>
        <v>1.7777777364599983</v>
      </c>
      <c r="D10" s="50">
        <f>(1/(4*POWER(PI(),2)*POWER(C10,2)*C6/1000))*1000000</f>
        <v>43322.50980000003</v>
      </c>
      <c r="F10" s="91">
        <v>-9</v>
      </c>
      <c r="G10" s="48">
        <f>G18/9</f>
        <v>1.7777777454435315</v>
      </c>
      <c r="H10" s="50">
        <f>(1/(4*POWER(PI(),2)*POWER(G10,2)*G6/1000))*1000000</f>
        <v>100183.3029</v>
      </c>
      <c r="J10" s="58" t="s">
        <v>145</v>
      </c>
      <c r="K10" s="60"/>
    </row>
    <row r="11" spans="2:11" ht="12.75">
      <c r="B11" s="91">
        <v>-8</v>
      </c>
      <c r="C11" s="48">
        <f>C18/8</f>
        <v>1.9999999535174982</v>
      </c>
      <c r="D11" s="50">
        <f>(1/(4*POWER(PI(),2)*POWER(C11,2)*C6/1000))*1000000</f>
        <v>34230.13120000001</v>
      </c>
      <c r="F11" s="91">
        <v>-8</v>
      </c>
      <c r="G11" s="48">
        <f>G18/8</f>
        <v>1.999999963623973</v>
      </c>
      <c r="H11" s="50">
        <f>(1/(4*POWER(PI(),2)*POWER(G11,2)*G6/1000))*1000000</f>
        <v>79157.1776</v>
      </c>
      <c r="J11" s="91" t="s">
        <v>143</v>
      </c>
      <c r="K11" s="93" t="s">
        <v>23</v>
      </c>
    </row>
    <row r="12" spans="2:11" ht="12.75">
      <c r="B12" s="91">
        <v>-7</v>
      </c>
      <c r="C12" s="48">
        <f>C18/7</f>
        <v>2.2857142325914266</v>
      </c>
      <c r="D12" s="50">
        <f>(1/(4*POWER(PI(),2)*POWER(C12,2)*C6/1000))*1000000</f>
        <v>26207.44420000001</v>
      </c>
      <c r="F12" s="91">
        <v>-7</v>
      </c>
      <c r="G12" s="48">
        <f>G18/7</f>
        <v>2.2857142441416833</v>
      </c>
      <c r="H12" s="50">
        <f>(1/(4*POWER(PI(),2)*POWER(G12,2)*G6/1000))*1000000</f>
        <v>60604.714100000005</v>
      </c>
      <c r="J12" s="55">
        <v>80</v>
      </c>
      <c r="K12" s="57">
        <v>16</v>
      </c>
    </row>
    <row r="13" spans="2:11" ht="13.5" thickBot="1">
      <c r="B13" s="91">
        <v>-6</v>
      </c>
      <c r="C13" s="48">
        <f>C18/6</f>
        <v>2.6666666046899974</v>
      </c>
      <c r="D13" s="50">
        <f>(1/(4*POWER(PI(),2)*POWER(C13,2)*C6/1000))*1000000</f>
        <v>19254.448800000013</v>
      </c>
      <c r="F13" s="91">
        <v>-6</v>
      </c>
      <c r="G13" s="48">
        <f>G18/6</f>
        <v>2.6666666181652974</v>
      </c>
      <c r="H13" s="50">
        <f>(1/(4*POWER(PI(),2)*POWER(G13,2)*G6/1000))*1000000</f>
        <v>44525.9124</v>
      </c>
      <c r="J13" s="52">
        <f>(1/(4*POWER(PI(),2)*POWER(K12,2)*J12))*1000000000</f>
        <v>1236.830855009006</v>
      </c>
      <c r="K13" s="51" t="s">
        <v>144</v>
      </c>
    </row>
    <row r="14" spans="2:8" ht="12.75">
      <c r="B14" s="91">
        <v>-5</v>
      </c>
      <c r="C14" s="48">
        <f>C18/5</f>
        <v>3.199999925627997</v>
      </c>
      <c r="D14" s="50">
        <f>(1/(4*POWER(PI(),2)*POWER(C14,2)*C6/1000))*1000000</f>
        <v>13371.145000000004</v>
      </c>
      <c r="F14" s="91">
        <v>-5</v>
      </c>
      <c r="G14" s="48">
        <f>G18/5</f>
        <v>3.1999999417983567</v>
      </c>
      <c r="H14" s="50">
        <f>(1/(4*POWER(PI(),2)*POWER(G14,2)*G6/1000))*1000000</f>
        <v>30920.772500000003</v>
      </c>
    </row>
    <row r="15" spans="2:8" ht="12.75">
      <c r="B15" s="91">
        <v>-4</v>
      </c>
      <c r="C15" s="48">
        <f>C18/4</f>
        <v>3.9999999070349963</v>
      </c>
      <c r="D15" s="50">
        <f>(1/(4*POWER(PI(),2)*POWER(C15,2)*C6/1000))*1000000</f>
        <v>8557.532800000003</v>
      </c>
      <c r="F15" s="91">
        <v>-4</v>
      </c>
      <c r="G15" s="48">
        <f>G18/4</f>
        <v>3.999999927247946</v>
      </c>
      <c r="H15" s="50">
        <f>(1/(4*POWER(PI(),2)*POWER(G15,2)*G6/1000))*1000000</f>
        <v>19789.2944</v>
      </c>
    </row>
    <row r="16" spans="2:8" ht="12.75">
      <c r="B16" s="91">
        <v>-3</v>
      </c>
      <c r="C16" s="48">
        <f>C18/3</f>
        <v>5.333333209379995</v>
      </c>
      <c r="D16" s="50">
        <f>(1/(4*POWER(PI(),2)*POWER(C16,2)*C6/1000))*1000000</f>
        <v>4813.612200000003</v>
      </c>
      <c r="F16" s="91">
        <v>-3</v>
      </c>
      <c r="G16" s="48">
        <f>G18/3</f>
        <v>5.333333236330595</v>
      </c>
      <c r="H16" s="50">
        <f>(1/(4*POWER(PI(),2)*POWER(G16,2)*G6/1000))*1000000</f>
        <v>11131.4781</v>
      </c>
    </row>
    <row r="17" spans="2:8" ht="13.5" thickBot="1">
      <c r="B17" s="91">
        <v>-2</v>
      </c>
      <c r="C17" s="48">
        <f>C18/2</f>
        <v>7.999999814069993</v>
      </c>
      <c r="D17" s="50">
        <f>(1/(4*POWER(PI(),2)*POWER(C17,2)*C6/1000))*1000000</f>
        <v>2139.3832000000007</v>
      </c>
      <c r="F17" s="91">
        <v>-2</v>
      </c>
      <c r="G17" s="48">
        <f>G18/2</f>
        <v>7.999999854495892</v>
      </c>
      <c r="H17" s="50">
        <f>(1/(4*POWER(PI(),2)*POWER(G17,2)*G6/1000))*1000000</f>
        <v>4947.3236</v>
      </c>
    </row>
    <row r="18" spans="2:11" ht="12.75">
      <c r="B18" s="91">
        <v>1</v>
      </c>
      <c r="C18" s="96">
        <f>(1/(2*PI()*SQRT(C6*D6/1000)))*1000</f>
        <v>15.999999628139985</v>
      </c>
      <c r="D18" s="97">
        <f>D6</f>
        <v>534.8458</v>
      </c>
      <c r="F18" s="91">
        <v>1</v>
      </c>
      <c r="G18" s="96">
        <f>(1/(2*PI()*SQRT(G6*H6/1000)))*1000</f>
        <v>15.999999708991783</v>
      </c>
      <c r="H18" s="97">
        <f>H6</f>
        <v>1236.8309</v>
      </c>
      <c r="J18" s="35" t="s">
        <v>146</v>
      </c>
      <c r="K18" s="24"/>
    </row>
    <row r="19" spans="2:11" ht="13.5" thickBot="1">
      <c r="B19" s="91">
        <v>2</v>
      </c>
      <c r="C19" s="48">
        <f>C18*2</f>
        <v>31.99999925627997</v>
      </c>
      <c r="D19" s="50">
        <f>(1/(4*POWER(PI(),2)*POWER(C19,2)*C6/1000))*1000000</f>
        <v>133.71145000000004</v>
      </c>
      <c r="F19" s="91">
        <v>2</v>
      </c>
      <c r="G19" s="48">
        <f>G18*2</f>
        <v>31.999999417983567</v>
      </c>
      <c r="H19" s="50">
        <f>(1/(4*POWER(PI(),2)*POWER(G19,2)*G6/1000))*1000000</f>
        <v>309.207725</v>
      </c>
      <c r="J19" s="16">
        <f>C18/4</f>
        <v>3.9999999070349963</v>
      </c>
      <c r="K19" s="27"/>
    </row>
    <row r="20" spans="2:8" ht="12.75">
      <c r="B20" s="91">
        <v>3</v>
      </c>
      <c r="C20" s="48">
        <f>C18*3</f>
        <v>47.99999888441995</v>
      </c>
      <c r="D20" s="50">
        <f>(1/(4*POWER(PI(),2)*POWER(C20,2)*C6/1000))*1000000</f>
        <v>59.427311111111145</v>
      </c>
      <c r="F20" s="91">
        <v>3</v>
      </c>
      <c r="G20" s="48">
        <f>G18*3</f>
        <v>47.999999126975354</v>
      </c>
      <c r="H20" s="50">
        <f>(1/(4*POWER(PI(),2)*POWER(G20,2)*G6/1000))*1000000</f>
        <v>137.42565555555552</v>
      </c>
    </row>
    <row r="21" spans="2:8" ht="12.75">
      <c r="B21" s="91">
        <v>4</v>
      </c>
      <c r="C21" s="48">
        <f>C18*4</f>
        <v>63.99999851255994</v>
      </c>
      <c r="D21" s="50">
        <f>(1/(4*POWER(PI(),2)*POWER(C21,2)*C6/1000))*1000000</f>
        <v>33.42786250000001</v>
      </c>
      <c r="F21" s="91">
        <v>4</v>
      </c>
      <c r="G21" s="48">
        <f>G18*4</f>
        <v>63.99999883596713</v>
      </c>
      <c r="H21" s="50">
        <f>(1/(4*POWER(PI(),2)*POWER(G21,2)*G6/1000))*1000000</f>
        <v>77.30193125</v>
      </c>
    </row>
    <row r="22" spans="2:11" ht="12.75">
      <c r="B22" s="91">
        <v>5</v>
      </c>
      <c r="C22" s="48">
        <f>C18*5</f>
        <v>79.99999814069993</v>
      </c>
      <c r="D22" s="50">
        <f>(1/(4*POWER(PI(),2)*POWER(C22,2)*C6/1000))*1000000</f>
        <v>21.39383200000001</v>
      </c>
      <c r="F22" s="91">
        <v>5</v>
      </c>
      <c r="G22" s="48">
        <f>G18*5</f>
        <v>79.99999854495891</v>
      </c>
      <c r="H22" s="50">
        <f>(1/(4*POWER(PI(),2)*POWER(G22,2)*G6/1000))*1000000</f>
        <v>49.473236000000014</v>
      </c>
      <c r="J22">
        <f>(C17+C18)/2</f>
        <v>11.999999721104988</v>
      </c>
      <c r="K22">
        <f>(D17+D18)/2</f>
        <v>1337.1145000000004</v>
      </c>
    </row>
    <row r="23" spans="2:11" ht="12.75">
      <c r="B23" s="91">
        <v>6</v>
      </c>
      <c r="C23" s="48">
        <f>C18*6</f>
        <v>95.9999977688399</v>
      </c>
      <c r="D23" s="50">
        <f>(1/(4*POWER(PI(),2)*POWER(C23,2)*C6/1000))*1000000</f>
        <v>14.856827777777786</v>
      </c>
      <c r="F23" s="91">
        <v>6</v>
      </c>
      <c r="G23" s="48">
        <f>G18*6</f>
        <v>95.99999825395071</v>
      </c>
      <c r="H23" s="50">
        <f>(1/(4*POWER(PI(),2)*POWER(G23,2)*G6/1000))*1000000</f>
        <v>34.35641388888888</v>
      </c>
      <c r="J23" s="98">
        <f>(C18-(C18/4))</f>
        <v>11.999999721104988</v>
      </c>
      <c r="K23" s="98">
        <f>(D18-(D18/4))</f>
        <v>401.13435000000004</v>
      </c>
    </row>
    <row r="24" spans="2:11" ht="12.75">
      <c r="B24" s="91">
        <v>7</v>
      </c>
      <c r="C24" s="48">
        <f>C18*7</f>
        <v>111.9999973969799</v>
      </c>
      <c r="D24" s="50">
        <f>(1/(4*POWER(PI(),2)*POWER(C24,2)*C6/1000))*1000000</f>
        <v>10.915220408163272</v>
      </c>
      <c r="F24" s="91">
        <v>7</v>
      </c>
      <c r="G24" s="48">
        <f>G18*7</f>
        <v>111.99999796294249</v>
      </c>
      <c r="H24" s="50">
        <f>(1/(4*POWER(PI(),2)*POWER(G24,2)*G6/1000))*1000000</f>
        <v>25.241446938775507</v>
      </c>
      <c r="J24">
        <f>(C18+C19)/2</f>
        <v>23.999999442209976</v>
      </c>
      <c r="K24">
        <f>(D18+D19)/2</f>
        <v>334.27862500000003</v>
      </c>
    </row>
    <row r="25" spans="2:8" ht="12.75">
      <c r="B25" s="91">
        <v>8</v>
      </c>
      <c r="C25" s="48">
        <f>C18*8</f>
        <v>127.99999702511988</v>
      </c>
      <c r="D25" s="50">
        <f>(1/(4*POWER(PI(),2)*POWER(C25,2)*C6/1000))*1000000</f>
        <v>8.356965625000003</v>
      </c>
      <c r="F25" s="91">
        <v>8</v>
      </c>
      <c r="G25" s="48">
        <f>G18*8</f>
        <v>127.99999767193427</v>
      </c>
      <c r="H25" s="50">
        <f>(1/(4*POWER(PI(),2)*POWER(G25,2)*G6/1000))*1000000</f>
        <v>19.3254828125</v>
      </c>
    </row>
    <row r="26" spans="2:8" ht="12.75">
      <c r="B26" s="91">
        <v>9</v>
      </c>
      <c r="C26" s="48">
        <f>C18*9</f>
        <v>143.99999665325987</v>
      </c>
      <c r="D26" s="50">
        <f>(1/(4*POWER(PI(),2)*POWER(C26,2)*C6/1000))*1000000</f>
        <v>6.603034567901237</v>
      </c>
      <c r="F26" s="91">
        <v>9</v>
      </c>
      <c r="G26" s="48">
        <f>G18*9</f>
        <v>143.99999738092606</v>
      </c>
      <c r="H26" s="50">
        <f>(1/(4*POWER(PI(),2)*POWER(G26,2)*G6/1000))*1000000</f>
        <v>15.269517283950615</v>
      </c>
    </row>
    <row r="27" spans="2:8" ht="13.5" thickBot="1">
      <c r="B27" s="92">
        <v>10</v>
      </c>
      <c r="C27" s="49">
        <f>C18*10</f>
        <v>159.99999628139986</v>
      </c>
      <c r="D27" s="87">
        <f>(1/(4*POWER(PI(),2)*POWER(C27,2)*C6/1000))*1000000</f>
        <v>5.348458000000003</v>
      </c>
      <c r="F27" s="92">
        <v>10</v>
      </c>
      <c r="G27" s="49">
        <f>G18*10</f>
        <v>159.99999708991783</v>
      </c>
      <c r="H27" s="87">
        <f>(1/(4*POWER(PI(),2)*POWER(G27,2)*G6/1000))*1000000</f>
        <v>12.368309000000004</v>
      </c>
    </row>
  </sheetData>
  <sheetProtection sheet="1" objects="1" scenarios="1"/>
  <mergeCells count="5">
    <mergeCell ref="J10:K10"/>
    <mergeCell ref="B2:H2"/>
    <mergeCell ref="B4:D4"/>
    <mergeCell ref="F4:H4"/>
    <mergeCell ref="J4:K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H10" sqref="H10"/>
    </sheetView>
  </sheetViews>
  <sheetFormatPr defaultColWidth="9.00390625" defaultRowHeight="12.75"/>
  <sheetData>
    <row r="1" spans="1:2" ht="12.75">
      <c r="A1" t="s">
        <v>34</v>
      </c>
      <c r="B1" t="s">
        <v>35</v>
      </c>
    </row>
    <row r="2" spans="1:2" ht="12.75">
      <c r="A2" t="s">
        <v>36</v>
      </c>
      <c r="B2" t="s">
        <v>37</v>
      </c>
    </row>
    <row r="3" spans="1:2" ht="12.75">
      <c r="A3" t="s">
        <v>38</v>
      </c>
      <c r="B3" t="s">
        <v>39</v>
      </c>
    </row>
    <row r="4" spans="1:2" ht="12.75">
      <c r="A4" t="s">
        <v>40</v>
      </c>
      <c r="B4" t="s">
        <v>41</v>
      </c>
    </row>
    <row r="5" spans="1:2" ht="12.75">
      <c r="A5" t="s">
        <v>42</v>
      </c>
      <c r="B5" t="s">
        <v>43</v>
      </c>
    </row>
    <row r="6" spans="1:2" ht="12.75">
      <c r="A6" t="s">
        <v>44</v>
      </c>
      <c r="B6" t="s">
        <v>45</v>
      </c>
    </row>
    <row r="7" spans="1:2" ht="12.75">
      <c r="A7" t="s">
        <v>46</v>
      </c>
      <c r="B7" t="s">
        <v>45</v>
      </c>
    </row>
    <row r="8" spans="1:2" ht="12.75">
      <c r="A8" t="s">
        <v>47</v>
      </c>
      <c r="B8" t="s">
        <v>48</v>
      </c>
    </row>
    <row r="9" spans="1:2" ht="12.75">
      <c r="A9" t="s">
        <v>49</v>
      </c>
      <c r="B9" t="s">
        <v>50</v>
      </c>
    </row>
    <row r="10" spans="1:2" ht="12.75">
      <c r="A10" t="s">
        <v>51</v>
      </c>
      <c r="B10" t="s">
        <v>48</v>
      </c>
    </row>
    <row r="11" spans="1:2" ht="12.75">
      <c r="A11" t="s">
        <v>52</v>
      </c>
      <c r="B11" t="s">
        <v>48</v>
      </c>
    </row>
    <row r="12" spans="1:2" ht="12.75">
      <c r="A12" t="s">
        <v>53</v>
      </c>
      <c r="B12" t="s">
        <v>54</v>
      </c>
    </row>
    <row r="13" spans="1:2" ht="12.75">
      <c r="A13" t="s">
        <v>55</v>
      </c>
      <c r="B13" t="s">
        <v>56</v>
      </c>
    </row>
    <row r="14" spans="1:2" ht="12.75">
      <c r="A14" t="s">
        <v>57</v>
      </c>
      <c r="B14" t="s">
        <v>58</v>
      </c>
    </row>
    <row r="15" spans="1:2" ht="12.75">
      <c r="A15" t="s">
        <v>59</v>
      </c>
      <c r="B15" t="s">
        <v>60</v>
      </c>
    </row>
    <row r="16" spans="1:2" ht="12.75">
      <c r="A16" t="s">
        <v>61</v>
      </c>
      <c r="B16" t="s">
        <v>62</v>
      </c>
    </row>
    <row r="17" spans="1:2" ht="12.75">
      <c r="A17" t="s">
        <v>63</v>
      </c>
      <c r="B17" t="s">
        <v>64</v>
      </c>
    </row>
    <row r="18" ht="12.75">
      <c r="A18" t="s">
        <v>65</v>
      </c>
    </row>
    <row r="20" ht="12.75">
      <c r="A20" t="s">
        <v>65</v>
      </c>
    </row>
    <row r="21" spans="1:2" ht="12.75">
      <c r="A21" t="s">
        <v>66</v>
      </c>
      <c r="B21" t="e">
        <f>LM393</f>
        <v>#NAME?</v>
      </c>
    </row>
    <row r="22" spans="1:2" ht="12.75">
      <c r="A22" t="s">
        <v>67</v>
      </c>
      <c r="B22">
        <f>CD4046</f>
        <v>0</v>
      </c>
    </row>
    <row r="23" spans="1:2" ht="12.75">
      <c r="A23" t="s">
        <v>68</v>
      </c>
      <c r="B23" t="s">
        <v>69</v>
      </c>
    </row>
    <row r="24" spans="1:2" ht="12.75">
      <c r="A24" t="s">
        <v>70</v>
      </c>
      <c r="B24" t="s">
        <v>71</v>
      </c>
    </row>
    <row r="25" spans="1:2" ht="12.75">
      <c r="A25" t="s">
        <v>72</v>
      </c>
      <c r="B25" t="s">
        <v>69</v>
      </c>
    </row>
    <row r="26" ht="12.75">
      <c r="A26" t="s">
        <v>65</v>
      </c>
    </row>
    <row r="27" spans="1:2" ht="12.75">
      <c r="A27" t="s">
        <v>73</v>
      </c>
      <c r="B27" t="s">
        <v>74</v>
      </c>
    </row>
    <row r="28" spans="1:2" ht="12.75">
      <c r="A28" t="s">
        <v>75</v>
      </c>
      <c r="B28" t="s">
        <v>76</v>
      </c>
    </row>
    <row r="29" spans="1:2" ht="12.75">
      <c r="A29" t="s">
        <v>77</v>
      </c>
      <c r="B29" t="s">
        <v>78</v>
      </c>
    </row>
    <row r="30" spans="1:2" ht="12.75">
      <c r="A30" t="s">
        <v>79</v>
      </c>
      <c r="B30" t="s">
        <v>80</v>
      </c>
    </row>
    <row r="31" spans="1:2" ht="12.75">
      <c r="A31" t="s">
        <v>81</v>
      </c>
      <c r="B31">
        <f>470</f>
        <v>470</v>
      </c>
    </row>
    <row r="32" spans="1:2" ht="12.75">
      <c r="A32" t="s">
        <v>82</v>
      </c>
      <c r="B32">
        <f>10</f>
        <v>10</v>
      </c>
    </row>
    <row r="33" spans="1:2" ht="12.75">
      <c r="A33" t="s">
        <v>83</v>
      </c>
      <c r="B33" t="s">
        <v>84</v>
      </c>
    </row>
    <row r="34" spans="1:2" ht="12.75">
      <c r="A34" t="s">
        <v>85</v>
      </c>
      <c r="B34" t="s">
        <v>76</v>
      </c>
    </row>
    <row r="35" spans="1:2" ht="12.75">
      <c r="A35" t="s">
        <v>86</v>
      </c>
      <c r="B35" t="s">
        <v>76</v>
      </c>
    </row>
    <row r="36" spans="1:2" ht="12.75">
      <c r="A36" t="s">
        <v>87</v>
      </c>
      <c r="B36" t="s">
        <v>88</v>
      </c>
    </row>
    <row r="37" spans="1:2" ht="12.75">
      <c r="A37" t="s">
        <v>89</v>
      </c>
      <c r="B37">
        <f>500</f>
        <v>500</v>
      </c>
    </row>
    <row r="38" spans="1:2" ht="12.75">
      <c r="A38" t="s">
        <v>90</v>
      </c>
      <c r="B38" t="s">
        <v>91</v>
      </c>
    </row>
    <row r="39" spans="1:2" ht="12.75">
      <c r="A39" t="s">
        <v>92</v>
      </c>
      <c r="B39" t="s">
        <v>76</v>
      </c>
    </row>
    <row r="40" spans="1:2" ht="12.75">
      <c r="A40" t="s">
        <v>93</v>
      </c>
      <c r="B40" t="s">
        <v>88</v>
      </c>
    </row>
    <row r="41" spans="1:2" ht="12.75">
      <c r="A41" t="s">
        <v>94</v>
      </c>
      <c r="B41" t="s">
        <v>91</v>
      </c>
    </row>
    <row r="42" spans="1:2" ht="12.75">
      <c r="A42" t="s">
        <v>95</v>
      </c>
      <c r="B42" t="s">
        <v>96</v>
      </c>
    </row>
    <row r="43" ht="12.75">
      <c r="A43" t="s">
        <v>65</v>
      </c>
    </row>
    <row r="44" spans="1:2" ht="12.75">
      <c r="A44" t="s">
        <v>97</v>
      </c>
      <c r="B44" t="s">
        <v>98</v>
      </c>
    </row>
    <row r="45" ht="12.75">
      <c r="A45" t="s">
        <v>65</v>
      </c>
    </row>
    <row r="46" spans="1:2" ht="12.75">
      <c r="A46" t="s">
        <v>99</v>
      </c>
      <c r="B46" t="e">
        <f>KD522</f>
        <v>#NAME?</v>
      </c>
    </row>
    <row r="47" spans="1:2" ht="12.75">
      <c r="A47" t="s">
        <v>100</v>
      </c>
      <c r="B47" t="e">
        <f>KD522</f>
        <v>#NAME?</v>
      </c>
    </row>
    <row r="48" spans="1:2" ht="12.75">
      <c r="A48" t="s">
        <v>101</v>
      </c>
      <c r="B48" t="s">
        <v>102</v>
      </c>
    </row>
    <row r="49" spans="1:2" ht="12.75">
      <c r="A49" t="s">
        <v>103</v>
      </c>
      <c r="B49" t="s">
        <v>104</v>
      </c>
    </row>
    <row r="50" spans="1:2" ht="12.75">
      <c r="A50" t="s">
        <v>105</v>
      </c>
      <c r="B50" t="s">
        <v>104</v>
      </c>
    </row>
    <row r="51" spans="1:2" ht="12.75">
      <c r="A51" t="s">
        <v>106</v>
      </c>
      <c r="B51" t="s">
        <v>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Nika</cp:lastModifiedBy>
  <dcterms:created xsi:type="dcterms:W3CDTF">2015-02-12T17:44:20Z</dcterms:created>
  <dcterms:modified xsi:type="dcterms:W3CDTF">2016-02-07T20:57:46Z</dcterms:modified>
  <cp:category/>
  <cp:version/>
  <cp:contentType/>
  <cp:contentStatus/>
</cp:coreProperties>
</file>